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35" windowHeight="8760" activeTab="0"/>
  </bookViews>
  <sheets>
    <sheet name="Property Cal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<sst xmlns="http://schemas.openxmlformats.org/spreadsheetml/2006/main" count="80" uniqueCount="63">
  <si>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Setup</t>
  </si>
  <si>
    <t>Summary</t>
  </si>
  <si>
    <t>Legend</t>
  </si>
  <si>
    <t>Data</t>
  </si>
  <si>
    <t>Paid every (in minutes)</t>
  </si>
  <si>
    <t xml:space="preserve">Gross </t>
  </si>
  <si>
    <t>Current Upkeep</t>
  </si>
  <si>
    <t xml:space="preserve">Cash Flow </t>
  </si>
  <si>
    <t>Ok Investment</t>
  </si>
  <si>
    <t xml:space="preserve">Income Boost </t>
  </si>
  <si>
    <t>Income Boost</t>
  </si>
  <si>
    <t>!</t>
  </si>
  <si>
    <t>Best for section</t>
  </si>
  <si>
    <t>Current Cash Balance</t>
  </si>
  <si>
    <t>Nett Payout</t>
  </si>
  <si>
    <t>Best Investment</t>
  </si>
  <si>
    <t>Bank + Cash</t>
  </si>
  <si>
    <t>Current Bank Balance</t>
  </si>
  <si>
    <t>Upkeep %</t>
  </si>
  <si>
    <t>User Inputs</t>
  </si>
  <si>
    <t>Turns to pay for itself</t>
  </si>
  <si>
    <t>Properties</t>
  </si>
  <si>
    <t>Income</t>
  </si>
  <si>
    <t xml:space="preserve"> Qty Owned</t>
  </si>
  <si>
    <t>Qty to Buy</t>
  </si>
  <si>
    <t>Total Income (per)</t>
  </si>
  <si>
    <t>Increase</t>
  </si>
  <si>
    <t>Max Cost</t>
  </si>
  <si>
    <t>Waiting Time</t>
  </si>
  <si>
    <t>Total Minutes</t>
  </si>
  <si>
    <t>Minutes Rounded by 60</t>
  </si>
  <si>
    <t>Min for Sections</t>
  </si>
  <si>
    <t>Original Cost</t>
  </si>
  <si>
    <t>Inflation</t>
  </si>
  <si>
    <t>Next Cost</t>
  </si>
  <si>
    <t>Joints</t>
  </si>
  <si>
    <t>hrs/mins</t>
  </si>
  <si>
    <t>days</t>
  </si>
  <si>
    <t>Garage</t>
  </si>
  <si>
    <t>:</t>
  </si>
  <si>
    <t>Chop Shop</t>
  </si>
  <si>
    <t>Warehouse</t>
  </si>
  <si>
    <t>Strip Joint</t>
  </si>
  <si>
    <t>Lounge Bar</t>
  </si>
  <si>
    <t>Night Club</t>
  </si>
  <si>
    <t>Real Estate</t>
  </si>
  <si>
    <t>Supermart</t>
  </si>
  <si>
    <t>Penthouse</t>
  </si>
  <si>
    <t>Highrise</t>
  </si>
  <si>
    <t>Condos</t>
  </si>
  <si>
    <t>Tower Blocks</t>
  </si>
  <si>
    <t>Resort Casino</t>
  </si>
  <si>
    <t>Industries</t>
  </si>
  <si>
    <t xml:space="preserve"> </t>
  </si>
  <si>
    <t>Fight Club</t>
  </si>
  <si>
    <t>Record Studio</t>
  </si>
  <si>
    <t>Film Studio</t>
  </si>
  <si>
    <t>Oil Rig</t>
  </si>
  <si>
    <t>Gold Mine</t>
  </si>
  <si>
    <t>&lt; Fastest Return</t>
  </si>
  <si>
    <t>Gross :</t>
  </si>
  <si>
    <t xml:space="preserve">Average: </t>
  </si>
  <si>
    <t>Red Line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</si>
</sst>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_ ;\-#,##0\ 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#,##0.0"/>
    <numFmt numFmtId="171" formatCode="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\ ?/2"/>
    <numFmt numFmtId="178" formatCode="#\ ??/16"/>
    <numFmt numFmtId="179" formatCode="#\ ?/8"/>
    <numFmt numFmtId="180" formatCode="[$-1409]h:mm:ss\ AM/PM"/>
    <numFmt numFmtId="181" formatCode="0.00000000000000"/>
    <numFmt numFmtId="182" formatCode="#,##0.000"/>
    <numFmt numFmtId="183" formatCode="#,##0.00000000000000"/>
    <numFmt numFmtId="184" formatCode="&quot;$&quot;#,##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sz val="10"/>
      <color indexed="23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0"/>
    </font>
    <font>
      <sz val="10"/>
      <color indexed="53"/>
      <name val="Arial"/>
      <family val="0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left" indent="1"/>
    </xf>
    <xf numFmtId="0" fontId="0" fillId="3" borderId="2" xfId="0" applyFill="1" applyBorder="1" applyAlignment="1">
      <alignment/>
    </xf>
    <xf numFmtId="0" fontId="5" fillId="2" borderId="3" xfId="0" applyFont="1" applyFill="1" applyBorder="1" applyAlignment="1">
      <alignment horizontal="left" indent="1"/>
    </xf>
    <xf numFmtId="0" fontId="0" fillId="4" borderId="2" xfId="0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5" borderId="0" xfId="0" applyFont="1" applyFill="1" applyAlignment="1">
      <alignment/>
    </xf>
    <xf numFmtId="0" fontId="5" fillId="2" borderId="4" xfId="0" applyFont="1" applyFill="1" applyBorder="1" applyAlignment="1">
      <alignment horizontal="left" indent="1"/>
    </xf>
    <xf numFmtId="9" fontId="0" fillId="2" borderId="5" xfId="21" applyFont="1" applyFill="1" applyBorder="1" applyAlignment="1">
      <alignment horizontal="center"/>
    </xf>
    <xf numFmtId="9" fontId="0" fillId="2" borderId="6" xfId="21" applyFont="1" applyFill="1" applyBorder="1" applyAlignment="1">
      <alignment/>
    </xf>
    <xf numFmtId="0" fontId="0" fillId="6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" fontId="0" fillId="2" borderId="0" xfId="21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3" fontId="0" fillId="2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71" fontId="0" fillId="2" borderId="0" xfId="17" applyNumberForma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center"/>
    </xf>
    <xf numFmtId="171" fontId="0" fillId="2" borderId="0" xfId="17" applyNumberFormat="1" applyFill="1" applyBorder="1" applyAlignment="1">
      <alignment horizontal="left"/>
    </xf>
    <xf numFmtId="2" fontId="0" fillId="2" borderId="0" xfId="17" applyNumberFormat="1" applyFill="1" applyBorder="1" applyAlignment="1">
      <alignment horizontal="right"/>
    </xf>
    <xf numFmtId="2" fontId="0" fillId="0" borderId="0" xfId="0" applyNumberFormat="1" applyAlignment="1">
      <alignment/>
    </xf>
    <xf numFmtId="2" fontId="9" fillId="5" borderId="3" xfId="0" applyNumberFormat="1" applyFont="1" applyFill="1" applyBorder="1" applyAlignment="1">
      <alignment/>
    </xf>
    <xf numFmtId="3" fontId="9" fillId="5" borderId="0" xfId="17" applyNumberFormat="1" applyFont="1" applyFill="1" applyBorder="1" applyAlignment="1">
      <alignment/>
    </xf>
    <xf numFmtId="3" fontId="9" fillId="5" borderId="9" xfId="17" applyNumberFormat="1" applyFont="1" applyFill="1" applyBorder="1" applyAlignment="1">
      <alignment/>
    </xf>
    <xf numFmtId="3" fontId="0" fillId="2" borderId="5" xfId="17" applyNumberFormat="1" applyFill="1" applyBorder="1" applyAlignment="1">
      <alignment/>
    </xf>
    <xf numFmtId="3" fontId="9" fillId="5" borderId="0" xfId="0" applyNumberFormat="1" applyFont="1" applyFill="1" applyBorder="1" applyAlignment="1">
      <alignment horizontal="center"/>
    </xf>
    <xf numFmtId="2" fontId="0" fillId="2" borderId="0" xfId="21" applyNumberFormat="1" applyFill="1" applyAlignment="1">
      <alignment horizontal="center"/>
    </xf>
    <xf numFmtId="9" fontId="0" fillId="2" borderId="0" xfId="2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0" xfId="17" applyNumberFormat="1" applyFont="1" applyFill="1" applyBorder="1" applyAlignment="1">
      <alignment/>
    </xf>
    <xf numFmtId="9" fontId="9" fillId="5" borderId="0" xfId="21" applyFont="1" applyFill="1" applyBorder="1" applyAlignment="1">
      <alignment horizontal="center"/>
    </xf>
    <xf numFmtId="0" fontId="9" fillId="5" borderId="9" xfId="0" applyFont="1" applyFill="1" applyBorder="1" applyAlignment="1">
      <alignment/>
    </xf>
    <xf numFmtId="2" fontId="0" fillId="7" borderId="0" xfId="21" applyNumberFormat="1" applyFill="1" applyAlignment="1">
      <alignment horizontal="center"/>
    </xf>
    <xf numFmtId="0" fontId="5" fillId="7" borderId="0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/>
    </xf>
    <xf numFmtId="3" fontId="5" fillId="7" borderId="0" xfId="0" applyNumberFormat="1" applyFont="1" applyFill="1" applyBorder="1" applyAlignment="1">
      <alignment/>
    </xf>
    <xf numFmtId="3" fontId="0" fillId="7" borderId="0" xfId="17" applyNumberFormat="1" applyFill="1" applyBorder="1" applyAlignment="1">
      <alignment/>
    </xf>
    <xf numFmtId="3" fontId="5" fillId="7" borderId="0" xfId="17" applyNumberFormat="1" applyFont="1" applyFill="1" applyBorder="1" applyAlignment="1">
      <alignment/>
    </xf>
    <xf numFmtId="2" fontId="0" fillId="7" borderId="0" xfId="17" applyNumberFormat="1" applyFill="1" applyBorder="1" applyAlignment="1">
      <alignment horizontal="right"/>
    </xf>
    <xf numFmtId="3" fontId="0" fillId="2" borderId="0" xfId="17" applyNumberFormat="1" applyFont="1" applyFill="1" applyBorder="1" applyAlignment="1">
      <alignment/>
    </xf>
    <xf numFmtId="3" fontId="0" fillId="2" borderId="5" xfId="17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71" fontId="5" fillId="2" borderId="0" xfId="17" applyNumberFormat="1" applyFont="1" applyFill="1" applyBorder="1" applyAlignment="1">
      <alignment/>
    </xf>
    <xf numFmtId="9" fontId="9" fillId="5" borderId="0" xfId="2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2" fontId="0" fillId="7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9" fillId="5" borderId="0" xfId="0" applyNumberFormat="1" applyFont="1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7" fontId="0" fillId="2" borderId="5" xfId="0" applyNumberFormat="1" applyFill="1" applyBorder="1" applyAlignment="1">
      <alignment horizontal="right"/>
    </xf>
    <xf numFmtId="1" fontId="1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2" fontId="9" fillId="5" borderId="4" xfId="0" applyNumberFormat="1" applyFont="1" applyFill="1" applyBorder="1" applyAlignment="1">
      <alignment/>
    </xf>
    <xf numFmtId="0" fontId="9" fillId="5" borderId="5" xfId="0" applyFont="1" applyFill="1" applyBorder="1" applyAlignment="1">
      <alignment/>
    </xf>
    <xf numFmtId="3" fontId="11" fillId="5" borderId="5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ill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3" fontId="9" fillId="5" borderId="0" xfId="0" applyNumberFormat="1" applyFont="1" applyFill="1" applyAlignment="1">
      <alignment horizontal="right" indent="1"/>
    </xf>
    <xf numFmtId="0" fontId="9" fillId="5" borderId="0" xfId="0" applyFont="1" applyFill="1" applyAlignment="1">
      <alignment horizontal="right" indent="1"/>
    </xf>
    <xf numFmtId="3" fontId="0" fillId="6" borderId="5" xfId="0" applyNumberFormat="1" applyFill="1" applyBorder="1" applyAlignment="1">
      <alignment horizontal="right" indent="1"/>
    </xf>
    <xf numFmtId="3" fontId="0" fillId="6" borderId="6" xfId="0" applyNumberFormat="1" applyFill="1" applyBorder="1" applyAlignment="1">
      <alignment horizontal="right" indent="1"/>
    </xf>
    <xf numFmtId="3" fontId="0" fillId="6" borderId="0" xfId="0" applyNumberFormat="1" applyFill="1" applyBorder="1" applyAlignment="1">
      <alignment horizontal="right" indent="1"/>
    </xf>
    <xf numFmtId="3" fontId="0" fillId="6" borderId="9" xfId="0" applyNumberFormat="1" applyFill="1" applyBorder="1" applyAlignment="1">
      <alignment horizontal="right" indent="1"/>
    </xf>
    <xf numFmtId="0" fontId="5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184" fontId="0" fillId="2" borderId="7" xfId="0" applyNumberFormat="1" applyFont="1" applyFill="1" applyBorder="1" applyAlignment="1">
      <alignment horizontal="right" indent="1"/>
    </xf>
    <xf numFmtId="184" fontId="0" fillId="2" borderId="8" xfId="0" applyNumberFormat="1" applyFont="1" applyFill="1" applyBorder="1" applyAlignment="1">
      <alignment horizontal="right" indent="1"/>
    </xf>
    <xf numFmtId="184" fontId="0" fillId="2" borderId="0" xfId="0" applyNumberFormat="1" applyFont="1" applyFill="1" applyBorder="1" applyAlignment="1">
      <alignment horizontal="right" indent="1"/>
    </xf>
    <xf numFmtId="184" fontId="0" fillId="2" borderId="9" xfId="0" applyNumberFormat="1" applyFont="1" applyFill="1" applyBorder="1" applyAlignment="1">
      <alignment horizontal="right" indent="1"/>
    </xf>
    <xf numFmtId="0" fontId="5" fillId="2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indent="1"/>
    </xf>
    <xf numFmtId="0" fontId="5" fillId="2" borderId="7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0" fillId="6" borderId="7" xfId="0" applyFill="1" applyBorder="1" applyAlignment="1">
      <alignment horizontal="right" indent="1"/>
    </xf>
    <xf numFmtId="0" fontId="0" fillId="6" borderId="8" xfId="0" applyFill="1" applyBorder="1" applyAlignment="1">
      <alignment horizontal="right" indent="1"/>
    </xf>
    <xf numFmtId="9" fontId="0" fillId="6" borderId="0" xfId="21" applyFill="1" applyBorder="1" applyAlignment="1">
      <alignment horizontal="right" indent="1"/>
    </xf>
    <xf numFmtId="9" fontId="0" fillId="6" borderId="9" xfId="2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008000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  <strike val="0"/>
        <color rgb="FF00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showGridLines="0" tabSelected="1" workbookViewId="0" topLeftCell="A10">
      <selection activeCell="D6" sqref="D6:G6"/>
    </sheetView>
  </sheetViews>
  <sheetFormatPr defaultColWidth="9.140625" defaultRowHeight="12.75"/>
  <cols>
    <col min="1" max="1" width="1.421875" style="0" customWidth="1"/>
    <col min="2" max="2" width="10.140625" style="17" customWidth="1"/>
    <col min="3" max="3" width="15.28125" style="0" customWidth="1"/>
    <col min="4" max="4" width="1.421875" style="0" customWidth="1"/>
    <col min="5" max="5" width="0.85546875" style="0" customWidth="1"/>
    <col min="6" max="6" width="11.00390625" style="0" customWidth="1"/>
    <col min="7" max="7" width="8.28125" style="0" customWidth="1"/>
    <col min="8" max="8" width="3.7109375" style="0" customWidth="1"/>
    <col min="9" max="9" width="14.7109375" style="0" customWidth="1"/>
    <col min="10" max="10" width="12.140625" style="0" customWidth="1"/>
    <col min="11" max="11" width="15.140625" style="0" customWidth="1"/>
    <col min="12" max="12" width="2.140625" style="2" customWidth="1"/>
    <col min="13" max="13" width="4.421875" style="0" customWidth="1"/>
    <col min="14" max="14" width="2.00390625" style="4" customWidth="1"/>
    <col min="15" max="15" width="4.28125" style="0" customWidth="1"/>
    <col min="16" max="16" width="7.8515625" style="0" customWidth="1"/>
    <col min="17" max="17" width="1.8515625" style="0" customWidth="1"/>
    <col min="18" max="18" width="11.57421875" style="0" customWidth="1"/>
    <col min="19" max="19" width="65.00390625" style="0" customWidth="1"/>
    <col min="20" max="20" width="10.00390625" style="0" customWidth="1"/>
    <col min="21" max="21" width="10.140625" style="0" customWidth="1"/>
    <col min="22" max="22" width="4.28125" style="0" customWidth="1"/>
    <col min="23" max="23" width="8.57421875" style="5" customWidth="1"/>
    <col min="24" max="24" width="12.00390625" style="0" customWidth="1"/>
    <col min="25" max="25" width="13.57421875" style="0" customWidth="1"/>
    <col min="26" max="26" width="13.7109375" style="0" customWidth="1"/>
    <col min="27" max="27" width="9.00390625" style="0" customWidth="1"/>
    <col min="28" max="28" width="8.57421875" style="0" customWidth="1"/>
    <col min="29" max="30" width="5.8515625" style="0" customWidth="1"/>
    <col min="31" max="31" width="6.28125" style="0" customWidth="1"/>
  </cols>
  <sheetData>
    <row r="1" spans="2:20" ht="24" customHeight="1">
      <c r="B1" s="1" t="s">
        <v>0</v>
      </c>
      <c r="I1" s="1" t="s">
        <v>1</v>
      </c>
      <c r="M1" s="3" t="s">
        <v>2</v>
      </c>
      <c r="T1" s="4" t="s">
        <v>3</v>
      </c>
    </row>
    <row r="2" spans="2:16" ht="12.75" customHeight="1">
      <c r="B2" s="121" t="s">
        <v>4</v>
      </c>
      <c r="C2" s="122"/>
      <c r="D2" s="125">
        <v>45</v>
      </c>
      <c r="E2" s="125"/>
      <c r="F2" s="125"/>
      <c r="G2" s="126"/>
      <c r="I2" s="6" t="s">
        <v>5</v>
      </c>
      <c r="J2" s="114">
        <f>I16+I24+I31</f>
        <v>312843640</v>
      </c>
      <c r="K2" s="115"/>
      <c r="M2" s="7"/>
      <c r="N2" s="113" t="s">
        <v>62</v>
      </c>
      <c r="O2" s="113"/>
      <c r="P2" s="100"/>
    </row>
    <row r="3" spans="2:16" ht="12.75">
      <c r="B3" s="123" t="s">
        <v>6</v>
      </c>
      <c r="C3" s="124"/>
      <c r="D3" s="107">
        <v>151752950</v>
      </c>
      <c r="E3" s="107"/>
      <c r="F3" s="107"/>
      <c r="G3" s="108"/>
      <c r="I3" s="8" t="s">
        <v>7</v>
      </c>
      <c r="J3" s="116">
        <f>J2-D3</f>
        <v>161090690</v>
      </c>
      <c r="K3" s="117"/>
      <c r="M3" s="9"/>
      <c r="N3" s="101" t="s">
        <v>8</v>
      </c>
      <c r="O3" s="101"/>
      <c r="P3" s="102"/>
    </row>
    <row r="4" spans="2:16" ht="12.75">
      <c r="B4" s="123" t="s">
        <v>9</v>
      </c>
      <c r="C4" s="124"/>
      <c r="D4" s="127">
        <v>0</v>
      </c>
      <c r="E4" s="127">
        <v>0</v>
      </c>
      <c r="F4" s="127">
        <v>0</v>
      </c>
      <c r="G4" s="128">
        <v>0</v>
      </c>
      <c r="I4" s="8" t="s">
        <v>10</v>
      </c>
      <c r="J4" s="116">
        <f>J2*D4</f>
        <v>0</v>
      </c>
      <c r="K4" s="117"/>
      <c r="M4" s="10" t="s">
        <v>11</v>
      </c>
      <c r="N4" s="101" t="s">
        <v>12</v>
      </c>
      <c r="O4" s="101"/>
      <c r="P4" s="102"/>
    </row>
    <row r="5" spans="2:21" ht="12.75">
      <c r="B5" s="123" t="s">
        <v>13</v>
      </c>
      <c r="C5" s="124"/>
      <c r="D5" s="107">
        <v>2955287539</v>
      </c>
      <c r="E5" s="107"/>
      <c r="F5" s="107"/>
      <c r="G5" s="108"/>
      <c r="I5" s="8" t="s">
        <v>14</v>
      </c>
      <c r="J5" s="116">
        <f>J3+J4</f>
        <v>161090690</v>
      </c>
      <c r="K5" s="117"/>
      <c r="M5" s="11">
        <v>123</v>
      </c>
      <c r="N5" s="101" t="s">
        <v>15</v>
      </c>
      <c r="O5" s="101"/>
      <c r="P5" s="102"/>
      <c r="T5" s="12" t="s">
        <v>16</v>
      </c>
      <c r="U5" s="12"/>
    </row>
    <row r="6" spans="2:21" ht="12.75">
      <c r="B6" s="109" t="s">
        <v>17</v>
      </c>
      <c r="C6" s="110"/>
      <c r="D6" s="105">
        <v>0</v>
      </c>
      <c r="E6" s="105"/>
      <c r="F6" s="105"/>
      <c r="G6" s="106"/>
      <c r="I6" s="13" t="s">
        <v>18</v>
      </c>
      <c r="J6" s="14">
        <f>IF(D3=0,0,D3/J2)</f>
        <v>0.48507602711693293</v>
      </c>
      <c r="K6" s="15"/>
      <c r="M6" s="16"/>
      <c r="N6" s="111" t="s">
        <v>19</v>
      </c>
      <c r="O6" s="111"/>
      <c r="P6" s="112"/>
      <c r="T6" s="103">
        <f>D5+D6</f>
        <v>2955287539</v>
      </c>
      <c r="U6" s="104"/>
    </row>
    <row r="7" ht="15.75" customHeight="1"/>
    <row r="8" spans="1:26" ht="46.5" customHeight="1">
      <c r="A8" s="18"/>
      <c r="B8" s="19" t="s">
        <v>20</v>
      </c>
      <c r="C8" s="20" t="s">
        <v>21</v>
      </c>
      <c r="D8" s="20"/>
      <c r="E8" s="20"/>
      <c r="F8" s="20" t="s">
        <v>22</v>
      </c>
      <c r="G8" s="21" t="s">
        <v>23</v>
      </c>
      <c r="H8" s="21" t="s">
        <v>24</v>
      </c>
      <c r="I8" s="20" t="s">
        <v>25</v>
      </c>
      <c r="J8" s="20" t="s">
        <v>26</v>
      </c>
      <c r="K8" s="20" t="s">
        <v>27</v>
      </c>
      <c r="L8" s="22"/>
      <c r="M8" s="118" t="s">
        <v>28</v>
      </c>
      <c r="N8" s="118"/>
      <c r="O8" s="118"/>
      <c r="P8" s="118"/>
      <c r="T8" s="23" t="s">
        <v>29</v>
      </c>
      <c r="U8" s="24" t="s">
        <v>30</v>
      </c>
      <c r="V8" s="24"/>
      <c r="W8" s="24" t="s">
        <v>31</v>
      </c>
      <c r="X8" s="24" t="s">
        <v>32</v>
      </c>
      <c r="Y8" s="24" t="s">
        <v>33</v>
      </c>
      <c r="Z8" s="25" t="s">
        <v>34</v>
      </c>
    </row>
    <row r="9" spans="1:26" ht="23.25" customHeight="1">
      <c r="A9" s="18"/>
      <c r="B9" s="26"/>
      <c r="C9" s="27" t="s">
        <v>35</v>
      </c>
      <c r="D9" s="27"/>
      <c r="E9" s="28"/>
      <c r="F9" s="28"/>
      <c r="G9" s="119" t="s">
        <v>19</v>
      </c>
      <c r="H9" s="119"/>
      <c r="I9" s="28"/>
      <c r="J9" s="28"/>
      <c r="K9" s="28"/>
      <c r="L9" s="22"/>
      <c r="M9" s="120" t="s">
        <v>36</v>
      </c>
      <c r="N9" s="120"/>
      <c r="O9" s="120"/>
      <c r="P9" s="28" t="s">
        <v>37</v>
      </c>
      <c r="T9" s="29"/>
      <c r="U9" s="30"/>
      <c r="V9" s="30"/>
      <c r="W9" s="31"/>
      <c r="X9" s="32"/>
      <c r="Y9" s="32"/>
      <c r="Z9" s="33"/>
    </row>
    <row r="10" spans="1:26" ht="12.75">
      <c r="A10" s="18"/>
      <c r="B10" s="34">
        <f aca="true" t="shared" si="0" ref="B10:B15">IF(G10&gt;0,K10/J10,"N/A")</f>
        <v>6003.333333333333</v>
      </c>
      <c r="C10" s="35" t="s">
        <v>38</v>
      </c>
      <c r="D10" s="36">
        <f aca="true" t="shared" si="1" ref="D10:D15">IF(B10=W$15,"!","")</f>
      </c>
      <c r="E10" s="37">
        <f aca="true" t="shared" si="2" ref="E10:E15">IF(B10="N/A",0,IF(B10&gt;W$32,1,0))</f>
        <v>1</v>
      </c>
      <c r="F10" s="38">
        <v>60</v>
      </c>
      <c r="G10" s="39">
        <v>7154</v>
      </c>
      <c r="H10" s="39">
        <v>49</v>
      </c>
      <c r="I10" s="40">
        <f aca="true" t="shared" si="3" ref="I10:I15">G10*F10</f>
        <v>429240</v>
      </c>
      <c r="J10" s="40">
        <f aca="true" t="shared" si="4" ref="J10:J15">F10*H10</f>
        <v>2940</v>
      </c>
      <c r="K10" s="40">
        <f aca="true" t="shared" si="5" ref="K10:K15">H10*Z10</f>
        <v>17649800</v>
      </c>
      <c r="L10" s="41"/>
      <c r="M10" s="42">
        <f aca="true" t="shared" si="6" ref="M10:M15">IF(T10&lt;60,0,FLOOR(T10/60,1))</f>
        <v>0</v>
      </c>
      <c r="N10" s="43" t="s">
        <v>39</v>
      </c>
      <c r="O10" s="44">
        <f aca="true" t="shared" si="7" ref="O10:O15">T10-U10</f>
        <v>0</v>
      </c>
      <c r="P10" s="45">
        <f aca="true" t="shared" si="8" ref="P10:P15">($T10/60)/24</f>
        <v>0</v>
      </c>
      <c r="R10" s="46"/>
      <c r="T10" s="47">
        <f aca="true" t="shared" si="9" ref="T10:T15">IF(G10=0,0,IF(K10&lt;T$6,0,((K10-T$6)/$J$5)*D$2))</f>
        <v>0</v>
      </c>
      <c r="U10" s="30">
        <f aca="true" t="shared" si="10" ref="U10:U15">M10*60</f>
        <v>0</v>
      </c>
      <c r="V10" s="30"/>
      <c r="W10" s="30"/>
      <c r="X10" s="48">
        <v>2500</v>
      </c>
      <c r="Y10" s="48">
        <f>(X10*0.02)*G10</f>
        <v>357700</v>
      </c>
      <c r="Z10" s="49">
        <f aca="true" t="shared" si="11" ref="Z10:Z15">X10+Y10</f>
        <v>360200</v>
      </c>
    </row>
    <row r="11" spans="1:26" ht="12.75">
      <c r="A11" s="18"/>
      <c r="B11" s="34">
        <f t="shared" si="0"/>
        <v>6058.8</v>
      </c>
      <c r="C11" s="35" t="s">
        <v>40</v>
      </c>
      <c r="D11" s="36">
        <f t="shared" si="1"/>
      </c>
      <c r="E11" s="37">
        <f t="shared" si="2"/>
        <v>1</v>
      </c>
      <c r="F11" s="38">
        <v>200</v>
      </c>
      <c r="G11" s="39">
        <v>4999</v>
      </c>
      <c r="H11" s="39">
        <v>49</v>
      </c>
      <c r="I11" s="40">
        <f t="shared" si="3"/>
        <v>999800</v>
      </c>
      <c r="J11" s="40">
        <f t="shared" si="4"/>
        <v>9800</v>
      </c>
      <c r="K11" s="40">
        <f t="shared" si="5"/>
        <v>59376240</v>
      </c>
      <c r="L11" s="41"/>
      <c r="M11" s="42">
        <f t="shared" si="6"/>
        <v>0</v>
      </c>
      <c r="N11" s="43" t="s">
        <v>39</v>
      </c>
      <c r="O11" s="44">
        <f t="shared" si="7"/>
        <v>0</v>
      </c>
      <c r="P11" s="45">
        <f t="shared" si="8"/>
        <v>0</v>
      </c>
      <c r="R11" s="46"/>
      <c r="T11" s="47">
        <f t="shared" si="9"/>
        <v>0</v>
      </c>
      <c r="U11" s="30">
        <f t="shared" si="10"/>
        <v>0</v>
      </c>
      <c r="V11" s="30"/>
      <c r="W11" s="30"/>
      <c r="X11" s="48">
        <v>12000</v>
      </c>
      <c r="Y11" s="48">
        <f>(X11*0.02)*G11</f>
        <v>1199760</v>
      </c>
      <c r="Z11" s="49">
        <f t="shared" si="11"/>
        <v>1211760</v>
      </c>
    </row>
    <row r="12" spans="1:26" ht="12.75">
      <c r="A12" s="18"/>
      <c r="B12" s="34">
        <f t="shared" si="0"/>
        <v>6106.666666666667</v>
      </c>
      <c r="C12" s="35" t="s">
        <v>41</v>
      </c>
      <c r="D12" s="36">
        <f t="shared" si="1"/>
      </c>
      <c r="E12" s="37">
        <f t="shared" si="2"/>
        <v>1</v>
      </c>
      <c r="F12" s="38">
        <v>600</v>
      </c>
      <c r="G12" s="39">
        <v>906</v>
      </c>
      <c r="H12" s="39">
        <v>9</v>
      </c>
      <c r="I12" s="40">
        <f t="shared" si="3"/>
        <v>543600</v>
      </c>
      <c r="J12" s="40">
        <f t="shared" si="4"/>
        <v>5400</v>
      </c>
      <c r="K12" s="40">
        <f t="shared" si="5"/>
        <v>32976000</v>
      </c>
      <c r="L12" s="41"/>
      <c r="M12" s="42">
        <f t="shared" si="6"/>
        <v>0</v>
      </c>
      <c r="N12" s="43" t="s">
        <v>39</v>
      </c>
      <c r="O12" s="44">
        <f t="shared" si="7"/>
        <v>0</v>
      </c>
      <c r="P12" s="45">
        <f t="shared" si="8"/>
        <v>0</v>
      </c>
      <c r="R12" s="46"/>
      <c r="T12" s="47">
        <f t="shared" si="9"/>
        <v>0</v>
      </c>
      <c r="U12" s="30">
        <f t="shared" si="10"/>
        <v>0</v>
      </c>
      <c r="V12" s="30"/>
      <c r="W12" s="30"/>
      <c r="X12" s="48">
        <v>40000</v>
      </c>
      <c r="Y12" s="48">
        <f>(X12*0.1)*G12</f>
        <v>3624000</v>
      </c>
      <c r="Z12" s="49">
        <f t="shared" si="11"/>
        <v>3664000</v>
      </c>
    </row>
    <row r="13" spans="1:26" ht="12.75">
      <c r="A13" s="18"/>
      <c r="B13" s="34">
        <f t="shared" si="0"/>
        <v>5293.75</v>
      </c>
      <c r="C13" s="35" t="s">
        <v>42</v>
      </c>
      <c r="D13" s="36">
        <f t="shared" si="1"/>
      </c>
      <c r="E13" s="37">
        <f t="shared" si="2"/>
        <v>1</v>
      </c>
      <c r="F13" s="38">
        <v>4000</v>
      </c>
      <c r="G13" s="39">
        <v>837</v>
      </c>
      <c r="H13" s="39">
        <v>9</v>
      </c>
      <c r="I13" s="40">
        <f t="shared" si="3"/>
        <v>3348000</v>
      </c>
      <c r="J13" s="40">
        <f t="shared" si="4"/>
        <v>36000</v>
      </c>
      <c r="K13" s="40">
        <f t="shared" si="5"/>
        <v>190575000</v>
      </c>
      <c r="L13" s="41"/>
      <c r="M13" s="42">
        <f t="shared" si="6"/>
        <v>0</v>
      </c>
      <c r="N13" s="43" t="s">
        <v>39</v>
      </c>
      <c r="O13" s="44">
        <f t="shared" si="7"/>
        <v>0</v>
      </c>
      <c r="P13" s="45">
        <f t="shared" si="8"/>
        <v>0</v>
      </c>
      <c r="R13" s="46"/>
      <c r="T13" s="47">
        <f t="shared" si="9"/>
        <v>0</v>
      </c>
      <c r="U13" s="30">
        <f t="shared" si="10"/>
        <v>0</v>
      </c>
      <c r="V13" s="30"/>
      <c r="W13" s="30"/>
      <c r="X13" s="48">
        <v>250000</v>
      </c>
      <c r="Y13" s="48">
        <f>(X13*0.1)*G13</f>
        <v>20925000</v>
      </c>
      <c r="Z13" s="49">
        <f t="shared" si="11"/>
        <v>21175000</v>
      </c>
    </row>
    <row r="14" spans="1:26" ht="12.75">
      <c r="A14" s="18"/>
      <c r="B14" s="34">
        <f t="shared" si="0"/>
        <v>5145</v>
      </c>
      <c r="C14" s="35" t="s">
        <v>43</v>
      </c>
      <c r="D14" s="36">
        <f t="shared" si="1"/>
      </c>
      <c r="E14" s="37">
        <f t="shared" si="2"/>
        <v>1</v>
      </c>
      <c r="F14" s="38">
        <v>8000</v>
      </c>
      <c r="G14" s="39">
        <v>676</v>
      </c>
      <c r="H14" s="39">
        <v>9</v>
      </c>
      <c r="I14" s="40">
        <f t="shared" si="3"/>
        <v>5408000</v>
      </c>
      <c r="J14" s="40">
        <f t="shared" si="4"/>
        <v>72000</v>
      </c>
      <c r="K14" s="40">
        <f t="shared" si="5"/>
        <v>370440000</v>
      </c>
      <c r="L14" s="41"/>
      <c r="M14" s="42">
        <f t="shared" si="6"/>
        <v>0</v>
      </c>
      <c r="N14" s="43" t="s">
        <v>39</v>
      </c>
      <c r="O14" s="44">
        <f t="shared" si="7"/>
        <v>0</v>
      </c>
      <c r="P14" s="45">
        <f t="shared" si="8"/>
        <v>0</v>
      </c>
      <c r="R14" s="46"/>
      <c r="T14" s="47">
        <f t="shared" si="9"/>
        <v>0</v>
      </c>
      <c r="U14" s="30">
        <f t="shared" si="10"/>
        <v>0</v>
      </c>
      <c r="V14" s="30"/>
      <c r="W14" s="30"/>
      <c r="X14" s="48">
        <v>600000</v>
      </c>
      <c r="Y14" s="48">
        <f>(X14*0.1)*G14</f>
        <v>40560000</v>
      </c>
      <c r="Z14" s="49">
        <f t="shared" si="11"/>
        <v>41160000</v>
      </c>
    </row>
    <row r="15" spans="1:26" ht="12.75">
      <c r="A15" s="18"/>
      <c r="B15" s="34">
        <f t="shared" si="0"/>
        <v>5096</v>
      </c>
      <c r="C15" s="35" t="s">
        <v>44</v>
      </c>
      <c r="D15" s="36" t="str">
        <f t="shared" si="1"/>
        <v>!</v>
      </c>
      <c r="E15" s="37">
        <f t="shared" si="2"/>
        <v>1</v>
      </c>
      <c r="F15" s="38">
        <v>10000</v>
      </c>
      <c r="G15" s="39">
        <v>1254</v>
      </c>
      <c r="H15" s="39">
        <v>19</v>
      </c>
      <c r="I15" s="50">
        <f t="shared" si="3"/>
        <v>12540000</v>
      </c>
      <c r="J15" s="40">
        <f t="shared" si="4"/>
        <v>190000</v>
      </c>
      <c r="K15" s="40">
        <f t="shared" si="5"/>
        <v>968240000</v>
      </c>
      <c r="L15" s="41"/>
      <c r="M15" s="42">
        <f t="shared" si="6"/>
        <v>0</v>
      </c>
      <c r="N15" s="43" t="s">
        <v>39</v>
      </c>
      <c r="O15" s="44">
        <f t="shared" si="7"/>
        <v>0</v>
      </c>
      <c r="P15" s="45">
        <f t="shared" si="8"/>
        <v>0</v>
      </c>
      <c r="R15" s="46"/>
      <c r="T15" s="47">
        <f t="shared" si="9"/>
        <v>0</v>
      </c>
      <c r="U15" s="30">
        <f t="shared" si="10"/>
        <v>0</v>
      </c>
      <c r="V15" s="30"/>
      <c r="W15" s="51">
        <f>MIN(B10:B15)</f>
        <v>5096</v>
      </c>
      <c r="X15" s="48">
        <v>800000</v>
      </c>
      <c r="Y15" s="48">
        <f>(X15*0.05)*G15</f>
        <v>50160000</v>
      </c>
      <c r="Z15" s="49">
        <f t="shared" si="11"/>
        <v>50960000</v>
      </c>
    </row>
    <row r="16" spans="1:26" ht="15.75" customHeight="1">
      <c r="A16" s="18"/>
      <c r="B16" s="52"/>
      <c r="C16" s="35"/>
      <c r="D16" s="36"/>
      <c r="E16" s="35"/>
      <c r="F16" s="35"/>
      <c r="G16" s="35"/>
      <c r="H16" s="53"/>
      <c r="I16" s="54">
        <f>SUM(I10:I15)</f>
        <v>23268640</v>
      </c>
      <c r="J16" s="40"/>
      <c r="K16" s="40"/>
      <c r="L16" s="41"/>
      <c r="M16" s="40"/>
      <c r="N16" s="55"/>
      <c r="O16" s="40"/>
      <c r="P16" s="45"/>
      <c r="R16" s="46"/>
      <c r="T16" s="47"/>
      <c r="U16" s="30"/>
      <c r="V16" s="30"/>
      <c r="W16" s="56"/>
      <c r="X16" s="30"/>
      <c r="Y16" s="30"/>
      <c r="Z16" s="57"/>
    </row>
    <row r="17" spans="1:26" ht="22.5" customHeight="1">
      <c r="A17" s="18"/>
      <c r="B17" s="58"/>
      <c r="C17" s="59" t="s">
        <v>45</v>
      </c>
      <c r="D17" s="60"/>
      <c r="E17" s="61"/>
      <c r="F17" s="61"/>
      <c r="G17" s="61"/>
      <c r="H17" s="61"/>
      <c r="I17" s="62"/>
      <c r="J17" s="63"/>
      <c r="K17" s="63"/>
      <c r="L17" s="41"/>
      <c r="M17" s="63"/>
      <c r="N17" s="64"/>
      <c r="O17" s="63"/>
      <c r="P17" s="65"/>
      <c r="R17" s="46"/>
      <c r="T17" s="47"/>
      <c r="U17" s="30"/>
      <c r="V17" s="30"/>
      <c r="W17" s="56"/>
      <c r="X17" s="30"/>
      <c r="Y17" s="30"/>
      <c r="Z17" s="57"/>
    </row>
    <row r="18" spans="1:26" ht="12.75">
      <c r="A18" s="18"/>
      <c r="B18" s="34">
        <f aca="true" t="shared" si="12" ref="B18:B23">IF(G18&gt;0,K18/J18,"N/A")</f>
        <v>2473.6</v>
      </c>
      <c r="C18" s="35" t="s">
        <v>46</v>
      </c>
      <c r="D18" s="36">
        <f aca="true" t="shared" si="13" ref="D18:D23">IF(B18=W$23,"!","")</f>
      </c>
      <c r="E18" s="37">
        <f aca="true" t="shared" si="14" ref="E18:E23">IF(B18="N/A",0,IF(B18&gt;W$32,1,0))</f>
        <v>0</v>
      </c>
      <c r="F18" s="38">
        <v>15000</v>
      </c>
      <c r="G18" s="39">
        <v>1496</v>
      </c>
      <c r="H18" s="39">
        <v>49</v>
      </c>
      <c r="I18" s="40">
        <f aca="true" t="shared" si="15" ref="I18:I23">G18*F18</f>
        <v>22440000</v>
      </c>
      <c r="J18" s="40">
        <f aca="true" t="shared" si="16" ref="J18:J23">F18*H18</f>
        <v>735000</v>
      </c>
      <c r="K18" s="40">
        <f aca="true" t="shared" si="17" ref="K18:K23">H18*Z18</f>
        <v>1818096000</v>
      </c>
      <c r="L18" s="41"/>
      <c r="M18" s="42">
        <f aca="true" t="shared" si="18" ref="M18:M23">IF(T18&lt;60,0,FLOOR(T18/60,1))</f>
        <v>0</v>
      </c>
      <c r="N18" s="43" t="s">
        <v>39</v>
      </c>
      <c r="O18" s="44">
        <f aca="true" t="shared" si="19" ref="O18:O23">T18-U18</f>
        <v>0</v>
      </c>
      <c r="P18" s="45">
        <f aca="true" t="shared" si="20" ref="P18:P23">($T18/60)/24</f>
        <v>0</v>
      </c>
      <c r="R18" s="46"/>
      <c r="T18" s="47">
        <f aca="true" t="shared" si="21" ref="T18:T23">IF(G18=0,0,IF(K18&lt;T$6,0,((K18-T$6)/$J$5)*D$2))</f>
        <v>0</v>
      </c>
      <c r="U18" s="30">
        <f aca="true" t="shared" si="22" ref="U18:U23">M18*60</f>
        <v>0</v>
      </c>
      <c r="V18" s="30"/>
      <c r="W18" s="30"/>
      <c r="X18" s="48">
        <v>1200000</v>
      </c>
      <c r="Y18" s="48">
        <f>(X18*0.02)*G18</f>
        <v>35904000</v>
      </c>
      <c r="Z18" s="49">
        <f aca="true" t="shared" si="23" ref="Z18:Z23">X18+Y18</f>
        <v>37104000</v>
      </c>
    </row>
    <row r="19" spans="1:26" ht="12.75">
      <c r="A19" s="18"/>
      <c r="B19" s="34">
        <f t="shared" si="12"/>
        <v>3616.6666666666665</v>
      </c>
      <c r="C19" s="35" t="s">
        <v>47</v>
      </c>
      <c r="D19" s="36">
        <f t="shared" si="13"/>
      </c>
      <c r="E19" s="37">
        <f t="shared" si="14"/>
        <v>1</v>
      </c>
      <c r="F19" s="38">
        <v>21000</v>
      </c>
      <c r="G19" s="39">
        <v>345</v>
      </c>
      <c r="H19" s="39">
        <v>10</v>
      </c>
      <c r="I19" s="40">
        <f t="shared" si="15"/>
        <v>7245000</v>
      </c>
      <c r="J19" s="40">
        <f t="shared" si="16"/>
        <v>210000</v>
      </c>
      <c r="K19" s="40">
        <f t="shared" si="17"/>
        <v>759500000</v>
      </c>
      <c r="L19" s="41"/>
      <c r="M19" s="42">
        <f t="shared" si="18"/>
        <v>0</v>
      </c>
      <c r="N19" s="43" t="s">
        <v>39</v>
      </c>
      <c r="O19" s="44">
        <f t="shared" si="19"/>
        <v>0</v>
      </c>
      <c r="P19" s="45">
        <f t="shared" si="20"/>
        <v>0</v>
      </c>
      <c r="R19" s="46"/>
      <c r="T19" s="47">
        <f t="shared" si="21"/>
        <v>0</v>
      </c>
      <c r="U19" s="30">
        <f t="shared" si="22"/>
        <v>0</v>
      </c>
      <c r="V19" s="30"/>
      <c r="W19" s="30"/>
      <c r="X19" s="48">
        <v>3500000</v>
      </c>
      <c r="Y19" s="48">
        <f>(X19*0.06)*G19</f>
        <v>72450000</v>
      </c>
      <c r="Z19" s="49">
        <f t="shared" si="23"/>
        <v>75950000</v>
      </c>
    </row>
    <row r="20" spans="1:26" ht="12.75">
      <c r="A20" s="18"/>
      <c r="B20" s="34">
        <f t="shared" si="12"/>
        <v>3453.75</v>
      </c>
      <c r="C20" s="35" t="s">
        <v>48</v>
      </c>
      <c r="D20" s="36">
        <f t="shared" si="13"/>
      </c>
      <c r="E20" s="37">
        <f t="shared" si="14"/>
        <v>1</v>
      </c>
      <c r="F20" s="38">
        <v>40000</v>
      </c>
      <c r="G20" s="39">
        <v>297</v>
      </c>
      <c r="H20" s="39">
        <v>9</v>
      </c>
      <c r="I20" s="66">
        <f t="shared" si="15"/>
        <v>11880000</v>
      </c>
      <c r="J20" s="40">
        <f t="shared" si="16"/>
        <v>360000</v>
      </c>
      <c r="K20" s="40">
        <f t="shared" si="17"/>
        <v>1243350000</v>
      </c>
      <c r="L20" s="41"/>
      <c r="M20" s="42">
        <f t="shared" si="18"/>
        <v>0</v>
      </c>
      <c r="N20" s="43" t="s">
        <v>39</v>
      </c>
      <c r="O20" s="44">
        <f t="shared" si="19"/>
        <v>0</v>
      </c>
      <c r="P20" s="45">
        <f t="shared" si="20"/>
        <v>0</v>
      </c>
      <c r="R20" s="46"/>
      <c r="T20" s="47">
        <f t="shared" si="21"/>
        <v>0</v>
      </c>
      <c r="U20" s="30">
        <f t="shared" si="22"/>
        <v>0</v>
      </c>
      <c r="V20" s="30"/>
      <c r="W20" s="30"/>
      <c r="X20" s="48">
        <v>4500000</v>
      </c>
      <c r="Y20" s="48">
        <f>(X20*0.1)*G20</f>
        <v>133650000</v>
      </c>
      <c r="Z20" s="49">
        <f t="shared" si="23"/>
        <v>138150000</v>
      </c>
    </row>
    <row r="21" spans="1:26" ht="12.75">
      <c r="A21" s="18"/>
      <c r="B21" s="34">
        <f t="shared" si="12"/>
        <v>2536.3636363636365</v>
      </c>
      <c r="C21" s="35" t="s">
        <v>49</v>
      </c>
      <c r="D21" s="36">
        <f t="shared" si="13"/>
      </c>
      <c r="E21" s="37">
        <f t="shared" si="14"/>
        <v>0</v>
      </c>
      <c r="F21" s="38">
        <v>110000</v>
      </c>
      <c r="G21" s="39">
        <v>160</v>
      </c>
      <c r="H21" s="39">
        <v>8</v>
      </c>
      <c r="I21" s="66">
        <f t="shared" si="15"/>
        <v>17600000</v>
      </c>
      <c r="J21" s="40">
        <f t="shared" si="16"/>
        <v>880000</v>
      </c>
      <c r="K21" s="40">
        <f t="shared" si="17"/>
        <v>2232000000</v>
      </c>
      <c r="L21" s="41"/>
      <c r="M21" s="42">
        <f t="shared" si="18"/>
        <v>0</v>
      </c>
      <c r="N21" s="43" t="s">
        <v>39</v>
      </c>
      <c r="O21" s="44">
        <f t="shared" si="19"/>
        <v>0</v>
      </c>
      <c r="P21" s="45">
        <f t="shared" si="20"/>
        <v>0</v>
      </c>
      <c r="R21" s="46"/>
      <c r="T21" s="47">
        <f t="shared" si="21"/>
        <v>0</v>
      </c>
      <c r="U21" s="30">
        <f t="shared" si="22"/>
        <v>0</v>
      </c>
      <c r="V21" s="30"/>
      <c r="W21" s="30"/>
      <c r="X21" s="48">
        <v>15000000</v>
      </c>
      <c r="Y21" s="48">
        <f>(X21*0.11)*G21</f>
        <v>264000000</v>
      </c>
      <c r="Z21" s="49">
        <f t="shared" si="23"/>
        <v>279000000</v>
      </c>
    </row>
    <row r="22" spans="1:26" ht="12.75">
      <c r="A22" s="18"/>
      <c r="B22" s="34">
        <f t="shared" si="12"/>
        <v>2540.6250000000005</v>
      </c>
      <c r="C22" s="35" t="s">
        <v>50</v>
      </c>
      <c r="D22" s="36">
        <f t="shared" si="13"/>
      </c>
      <c r="E22" s="37">
        <f t="shared" si="14"/>
        <v>0</v>
      </c>
      <c r="F22" s="38">
        <v>160000</v>
      </c>
      <c r="G22" s="39">
        <v>218</v>
      </c>
      <c r="H22" s="39">
        <v>13</v>
      </c>
      <c r="I22" s="66">
        <f t="shared" si="15"/>
        <v>34880000</v>
      </c>
      <c r="J22" s="40">
        <f t="shared" si="16"/>
        <v>2080000</v>
      </c>
      <c r="K22" s="40">
        <f t="shared" si="17"/>
        <v>5284500000.000001</v>
      </c>
      <c r="L22" s="41"/>
      <c r="M22" s="42">
        <f t="shared" si="18"/>
        <v>10</v>
      </c>
      <c r="N22" s="43" t="s">
        <v>39</v>
      </c>
      <c r="O22" s="44">
        <f t="shared" si="19"/>
        <v>50.65560737867622</v>
      </c>
      <c r="P22" s="45">
        <f t="shared" si="20"/>
        <v>0.4518441717907474</v>
      </c>
      <c r="R22" s="46"/>
      <c r="T22" s="47">
        <f t="shared" si="21"/>
        <v>650.6556073786762</v>
      </c>
      <c r="U22" s="30">
        <f t="shared" si="22"/>
        <v>600</v>
      </c>
      <c r="V22" s="30"/>
      <c r="W22" s="30"/>
      <c r="X22" s="48">
        <v>25000000</v>
      </c>
      <c r="Y22" s="48">
        <f>(X22*0.07)*G22</f>
        <v>381500000.00000006</v>
      </c>
      <c r="Z22" s="49">
        <f t="shared" si="23"/>
        <v>406500000.00000006</v>
      </c>
    </row>
    <row r="23" spans="1:26" ht="12.75">
      <c r="A23" s="18"/>
      <c r="B23" s="34">
        <f t="shared" si="12"/>
        <v>2450</v>
      </c>
      <c r="C23" s="35" t="s">
        <v>51</v>
      </c>
      <c r="D23" s="36" t="str">
        <f t="shared" si="13"/>
        <v>!</v>
      </c>
      <c r="E23" s="37">
        <f t="shared" si="14"/>
        <v>0</v>
      </c>
      <c r="F23" s="38">
        <v>200000</v>
      </c>
      <c r="G23" s="39">
        <v>110</v>
      </c>
      <c r="H23" s="39">
        <v>11</v>
      </c>
      <c r="I23" s="67">
        <f t="shared" si="15"/>
        <v>22000000</v>
      </c>
      <c r="J23" s="40">
        <f t="shared" si="16"/>
        <v>2200000</v>
      </c>
      <c r="K23" s="40">
        <f t="shared" si="17"/>
        <v>5390000000</v>
      </c>
      <c r="L23" s="41"/>
      <c r="M23" s="42">
        <f t="shared" si="18"/>
        <v>11</v>
      </c>
      <c r="N23" s="43" t="s">
        <v>39</v>
      </c>
      <c r="O23" s="44">
        <f t="shared" si="19"/>
        <v>20.12658425511745</v>
      </c>
      <c r="P23" s="45">
        <f t="shared" si="20"/>
        <v>0.47231012795494265</v>
      </c>
      <c r="R23" s="46"/>
      <c r="T23" s="47">
        <f t="shared" si="21"/>
        <v>680.1265842551175</v>
      </c>
      <c r="U23" s="30">
        <f t="shared" si="22"/>
        <v>660</v>
      </c>
      <c r="V23" s="30"/>
      <c r="W23" s="51">
        <f>MIN(B18:B23)</f>
        <v>2450</v>
      </c>
      <c r="X23" s="48">
        <v>50000000</v>
      </c>
      <c r="Y23" s="48">
        <f>(X23*0.08)*G23</f>
        <v>440000000</v>
      </c>
      <c r="Z23" s="49">
        <f t="shared" si="23"/>
        <v>490000000</v>
      </c>
    </row>
    <row r="24" spans="1:26" ht="15.75" customHeight="1">
      <c r="A24" s="18"/>
      <c r="B24" s="52"/>
      <c r="C24" s="35"/>
      <c r="D24" s="36"/>
      <c r="E24" s="68"/>
      <c r="F24" s="38"/>
      <c r="G24" s="69"/>
      <c r="H24" s="69"/>
      <c r="I24" s="54">
        <f>SUM(I18:I23)</f>
        <v>116045000</v>
      </c>
      <c r="J24" s="40"/>
      <c r="K24" s="40"/>
      <c r="L24" s="41"/>
      <c r="M24" s="42"/>
      <c r="N24" s="70"/>
      <c r="O24" s="44"/>
      <c r="P24" s="45"/>
      <c r="R24" s="46"/>
      <c r="T24" s="47"/>
      <c r="U24" s="30"/>
      <c r="V24" s="30"/>
      <c r="W24" s="71"/>
      <c r="X24" s="48"/>
      <c r="Y24" s="48"/>
      <c r="Z24" s="49"/>
    </row>
    <row r="25" spans="1:26" ht="22.5" customHeight="1">
      <c r="A25" s="18"/>
      <c r="B25" s="58"/>
      <c r="C25" s="59" t="s">
        <v>52</v>
      </c>
      <c r="D25" s="59"/>
      <c r="E25" s="72"/>
      <c r="F25" s="72"/>
      <c r="G25" s="72"/>
      <c r="H25" s="72"/>
      <c r="I25" s="72"/>
      <c r="J25" s="72" t="s">
        <v>53</v>
      </c>
      <c r="K25" s="72"/>
      <c r="L25" s="73"/>
      <c r="M25" s="74"/>
      <c r="N25" s="74"/>
      <c r="O25" s="74"/>
      <c r="P25" s="75"/>
      <c r="R25" s="46"/>
      <c r="T25" s="47"/>
      <c r="U25" s="30"/>
      <c r="V25" s="30"/>
      <c r="W25" s="30"/>
      <c r="X25" s="30"/>
      <c r="Y25" s="30"/>
      <c r="Z25" s="57"/>
    </row>
    <row r="26" spans="1:26" ht="12.75">
      <c r="A26" s="18"/>
      <c r="B26" s="34">
        <f>IF(G26&gt;0,K26/J26,"N/A")</f>
        <v>2006</v>
      </c>
      <c r="C26" s="35" t="s">
        <v>54</v>
      </c>
      <c r="D26" s="36" t="str">
        <f>IF(B26=W$31,"!","")</f>
        <v>!</v>
      </c>
      <c r="E26" s="37">
        <f>IF(B26="N/A",0,IF(B26&gt;W$32,1,0))</f>
        <v>0</v>
      </c>
      <c r="F26" s="38">
        <v>250000</v>
      </c>
      <c r="G26" s="39">
        <v>245</v>
      </c>
      <c r="H26" s="39">
        <v>10</v>
      </c>
      <c r="I26" s="40">
        <f>G26*F26</f>
        <v>61250000</v>
      </c>
      <c r="J26" s="40">
        <f>F26*H26</f>
        <v>2500000</v>
      </c>
      <c r="K26" s="40">
        <f>H26*Z26</f>
        <v>5015000000</v>
      </c>
      <c r="L26" s="41"/>
      <c r="M26" s="42">
        <f>IF(T26&lt;60,0,FLOOR(T26/60,1))</f>
        <v>9</v>
      </c>
      <c r="N26" s="43" t="s">
        <v>39</v>
      </c>
      <c r="O26" s="44">
        <f>T26-U26</f>
        <v>35.37192711136811</v>
      </c>
      <c r="P26" s="45">
        <f>($T26/60)/24</f>
        <v>0.39956383827178343</v>
      </c>
      <c r="R26" s="46"/>
      <c r="T26" s="47">
        <f>IF(G26=0,0,IF(K26&lt;T$6,0,((K26-T$6)/$J$5)*D$2))</f>
        <v>575.3719271113681</v>
      </c>
      <c r="U26" s="30">
        <f>M26*60</f>
        <v>540</v>
      </c>
      <c r="V26" s="30"/>
      <c r="W26" s="30"/>
      <c r="X26" s="48">
        <v>85000000</v>
      </c>
      <c r="Y26" s="48">
        <f>(X26*0.02)*G26</f>
        <v>416500000</v>
      </c>
      <c r="Z26" s="49">
        <f>X26+Y26</f>
        <v>501500000</v>
      </c>
    </row>
    <row r="27" spans="1:26" ht="12.75">
      <c r="A27" s="18"/>
      <c r="B27" s="34">
        <f>IF(G27&gt;0,K27/J27,"N/A")</f>
        <v>2103.703703703704</v>
      </c>
      <c r="C27" s="35" t="s">
        <v>55</v>
      </c>
      <c r="D27" s="36">
        <f>IF(B27=W$31,"!","")</f>
      </c>
      <c r="E27" s="37">
        <f>IF(B27="N/A",0,IF(B27&gt;W$32,1,0))</f>
        <v>0</v>
      </c>
      <c r="F27" s="38">
        <v>270000</v>
      </c>
      <c r="G27" s="39">
        <v>234</v>
      </c>
      <c r="H27" s="39">
        <v>10</v>
      </c>
      <c r="I27" s="40">
        <f>G27*F27</f>
        <v>63180000</v>
      </c>
      <c r="J27" s="40">
        <f>F27*H27</f>
        <v>2700000</v>
      </c>
      <c r="K27" s="40">
        <f>H27*Z27</f>
        <v>5680000000</v>
      </c>
      <c r="L27" s="41"/>
      <c r="M27" s="42">
        <f>IF(T27&lt;60,0,FLOOR(T27/60,1))</f>
        <v>12</v>
      </c>
      <c r="N27" s="43" t="s">
        <v>39</v>
      </c>
      <c r="O27" s="44">
        <f>T27-U27</f>
        <v>41.13685244628357</v>
      </c>
      <c r="P27" s="45">
        <f>($T27/60)/24</f>
        <v>0.5285672586432525</v>
      </c>
      <c r="R27" s="46"/>
      <c r="T27" s="47">
        <f>IF(G27=0,0,IF(K27&lt;T$6,0,((K27-T$6)/$J$5)*D$2))</f>
        <v>761.1368524462836</v>
      </c>
      <c r="U27" s="30">
        <f>M27*60</f>
        <v>720</v>
      </c>
      <c r="V27" s="30"/>
      <c r="W27" s="30"/>
      <c r="X27" s="48">
        <v>100000000</v>
      </c>
      <c r="Y27" s="48">
        <f>(X27*0.02)*G27</f>
        <v>468000000</v>
      </c>
      <c r="Z27" s="49">
        <f>X27+Y27</f>
        <v>568000000</v>
      </c>
    </row>
    <row r="28" spans="1:26" ht="12.75">
      <c r="A28" s="18"/>
      <c r="B28" s="34">
        <f>IF(G28&gt;0,K28/J28,"N/A")</f>
        <v>2035</v>
      </c>
      <c r="C28" s="35" t="s">
        <v>56</v>
      </c>
      <c r="D28" s="36">
        <f>IF(B28=W$31,"!","")</f>
      </c>
      <c r="E28" s="37">
        <f>IF(B28="N/A",0,IF(B28&gt;W$32,1,0))</f>
        <v>0</v>
      </c>
      <c r="F28" s="38">
        <v>300000</v>
      </c>
      <c r="G28" s="39">
        <v>75</v>
      </c>
      <c r="H28" s="39">
        <v>10</v>
      </c>
      <c r="I28" s="40">
        <f>G28*F28</f>
        <v>22500000</v>
      </c>
      <c r="J28" s="40">
        <f>F28*H28</f>
        <v>3000000</v>
      </c>
      <c r="K28" s="40">
        <f>H28*Z28</f>
        <v>6105000000</v>
      </c>
      <c r="L28" s="41"/>
      <c r="M28" s="42">
        <f>IF(T28&lt;60,0,FLOOR(T28/60,1))</f>
        <v>14</v>
      </c>
      <c r="N28" s="43" t="s">
        <v>39</v>
      </c>
      <c r="O28" s="44">
        <f>T28-U28</f>
        <v>39.85879720919934</v>
      </c>
      <c r="P28" s="45">
        <f>($T28/60)/24</f>
        <v>0.6110130536174995</v>
      </c>
      <c r="R28" s="46"/>
      <c r="T28" s="47">
        <f>IF(G28=0,0,IF(K28&lt;T$6,0,((K28-T$6)/$J$5)*D$2))</f>
        <v>879.8587972091993</v>
      </c>
      <c r="U28" s="30">
        <f>M28*60</f>
        <v>840</v>
      </c>
      <c r="V28" s="30"/>
      <c r="W28" s="30"/>
      <c r="X28" s="48">
        <v>111000000</v>
      </c>
      <c r="Y28" s="48">
        <f>(X28*0.06)*G28</f>
        <v>499500000</v>
      </c>
      <c r="Z28" s="49">
        <f>X28+Y28</f>
        <v>610500000</v>
      </c>
    </row>
    <row r="29" spans="1:26" ht="12.75">
      <c r="A29" s="18"/>
      <c r="B29" s="34">
        <f>IF(G29&gt;0,K29/J29,"N/A")</f>
        <v>2125.714285714286</v>
      </c>
      <c r="C29" s="35" t="s">
        <v>57</v>
      </c>
      <c r="D29" s="36">
        <f>IF(B29=W$31,"!","")</f>
      </c>
      <c r="E29" s="37">
        <f>IF(B29="N/A",0,IF(B29&gt;W$32,1,0))</f>
        <v>0</v>
      </c>
      <c r="F29" s="38">
        <v>350000</v>
      </c>
      <c r="G29" s="39">
        <v>76</v>
      </c>
      <c r="H29" s="39">
        <v>10</v>
      </c>
      <c r="I29" s="40">
        <f>G29*F29</f>
        <v>26600000</v>
      </c>
      <c r="J29" s="40">
        <f>F29*H29</f>
        <v>3500000</v>
      </c>
      <c r="K29" s="40">
        <f>H29*Z29</f>
        <v>7440000000</v>
      </c>
      <c r="M29" s="42">
        <f>IF(T29&lt;60,0,FLOOR(T29/60,1))</f>
        <v>20</v>
      </c>
      <c r="N29" s="43" t="s">
        <v>39</v>
      </c>
      <c r="O29" s="44">
        <f>T29-U29</f>
        <v>52.78537664094665</v>
      </c>
      <c r="P29" s="76">
        <f>($T29/60)/24</f>
        <v>0.8699898448895462</v>
      </c>
      <c r="R29" s="46"/>
      <c r="T29" s="47">
        <f>IF(G29=0,0,IF(K29&lt;T$6,0,((K29-T$6)/$J$5)*D$2))</f>
        <v>1252.7853766409467</v>
      </c>
      <c r="U29" s="30">
        <f>M29*60</f>
        <v>1200</v>
      </c>
      <c r="V29" s="30"/>
      <c r="W29" s="30"/>
      <c r="X29" s="77">
        <v>155000000</v>
      </c>
      <c r="Y29" s="48">
        <f>(X29*0.05)*G29</f>
        <v>589000000</v>
      </c>
      <c r="Z29" s="49">
        <f>X29+Y29</f>
        <v>744000000</v>
      </c>
    </row>
    <row r="30" spans="1:26" ht="12.75">
      <c r="A30" s="18"/>
      <c r="B30" s="34" t="str">
        <f>IF(G30&gt;0,K30/J30,"N/A")</f>
        <v>N/A</v>
      </c>
      <c r="C30" s="35" t="s">
        <v>58</v>
      </c>
      <c r="D30" s="36">
        <f>IF(B30=W$31,"!","")</f>
      </c>
      <c r="E30" s="37">
        <f>IF(B30="N/A",0,IF(B30&gt;W$32,1,0))</f>
        <v>0</v>
      </c>
      <c r="F30" s="38">
        <v>500000</v>
      </c>
      <c r="G30" s="39">
        <v>0</v>
      </c>
      <c r="H30" s="39">
        <v>19</v>
      </c>
      <c r="I30" s="50">
        <f>G30*F30</f>
        <v>0</v>
      </c>
      <c r="J30" s="40">
        <f>F30*H30</f>
        <v>9500000</v>
      </c>
      <c r="K30" s="40">
        <f>H30*Z30</f>
        <v>4750000000</v>
      </c>
      <c r="M30" s="42">
        <f>IF(T30&lt;60,0,FLOOR(T30/60,1))</f>
        <v>0</v>
      </c>
      <c r="N30" s="43" t="s">
        <v>39</v>
      </c>
      <c r="O30" s="44">
        <f>T30-U30</f>
        <v>0</v>
      </c>
      <c r="P30" s="76">
        <f>($T30/60)/24</f>
        <v>0</v>
      </c>
      <c r="R30" s="46"/>
      <c r="T30" s="47">
        <f>IF(G30=0,0,IF(K30&lt;T$6,0,((K30-T$6)/$J$5)*D$2))</f>
        <v>0</v>
      </c>
      <c r="U30" s="30">
        <f>M30*60</f>
        <v>0</v>
      </c>
      <c r="V30" s="30"/>
      <c r="W30" s="30"/>
      <c r="X30" s="77">
        <v>250000000</v>
      </c>
      <c r="Y30" s="48">
        <f>(X30*0.05)*G30</f>
        <v>0</v>
      </c>
      <c r="Z30" s="49">
        <f>X30+Y30</f>
        <v>250000000</v>
      </c>
    </row>
    <row r="31" spans="1:26" ht="18.75" customHeight="1">
      <c r="A31" s="18"/>
      <c r="B31" s="78"/>
      <c r="C31" s="79"/>
      <c r="D31" s="79"/>
      <c r="E31" s="79"/>
      <c r="F31" s="79"/>
      <c r="G31" s="79"/>
      <c r="H31" s="79"/>
      <c r="I31" s="80">
        <f>SUM(I26:I30)</f>
        <v>173530000</v>
      </c>
      <c r="J31" s="80"/>
      <c r="K31" s="79"/>
      <c r="M31" s="79"/>
      <c r="N31" s="81"/>
      <c r="O31" s="79"/>
      <c r="P31" s="82"/>
      <c r="T31" s="47"/>
      <c r="U31" s="30"/>
      <c r="V31" s="30"/>
      <c r="W31" s="51">
        <f>MIN(B26:B30)</f>
        <v>2006</v>
      </c>
      <c r="X31" s="30"/>
      <c r="Y31" s="30"/>
      <c r="Z31" s="57"/>
    </row>
    <row r="32" spans="2:26" ht="34.5" customHeight="1">
      <c r="B32" s="83">
        <f>MIN(B10:B30)</f>
        <v>2006</v>
      </c>
      <c r="C32" s="84" t="s">
        <v>59</v>
      </c>
      <c r="D32" s="79"/>
      <c r="E32" s="79"/>
      <c r="F32" s="79"/>
      <c r="G32" s="85"/>
      <c r="H32" s="86" t="s">
        <v>60</v>
      </c>
      <c r="I32" s="87">
        <f>I24+I16+I31</f>
        <v>312843640</v>
      </c>
      <c r="J32" s="80"/>
      <c r="K32" s="79"/>
      <c r="L32"/>
      <c r="M32" s="79"/>
      <c r="N32" s="81"/>
      <c r="O32" s="79"/>
      <c r="P32" s="79"/>
      <c r="T32" s="88"/>
      <c r="U32" s="89"/>
      <c r="V32" s="90" t="s">
        <v>61</v>
      </c>
      <c r="W32" s="91">
        <f>AVERAGE(W15:W31)</f>
        <v>3184</v>
      </c>
      <c r="X32" s="89"/>
      <c r="Y32" s="89"/>
      <c r="Z32" s="92"/>
    </row>
    <row r="33" spans="2:16" ht="16.5" customHeight="1">
      <c r="B33" s="93"/>
      <c r="C33" s="94"/>
      <c r="D33" s="94"/>
      <c r="E33" s="94"/>
      <c r="F33" s="95"/>
      <c r="G33" s="94"/>
      <c r="H33" s="94"/>
      <c r="I33" s="94"/>
      <c r="J33" s="94"/>
      <c r="K33" s="94"/>
      <c r="M33" s="94"/>
      <c r="N33" s="96"/>
      <c r="O33" s="94"/>
      <c r="P33" s="94"/>
    </row>
    <row r="34" spans="2:16" ht="27" customHeight="1">
      <c r="B34" s="93"/>
      <c r="C34" s="94"/>
      <c r="D34" s="94"/>
      <c r="E34" s="94"/>
      <c r="F34" s="94"/>
      <c r="M34" s="94"/>
      <c r="N34" s="96"/>
      <c r="O34" s="94"/>
      <c r="P34" s="94"/>
    </row>
    <row r="35" ht="12.75">
      <c r="J35" s="97"/>
    </row>
    <row r="36" ht="17.25" customHeight="1"/>
    <row r="37" spans="13:16" ht="12.75">
      <c r="M37" s="98"/>
      <c r="N37" s="98"/>
      <c r="O37" s="98"/>
      <c r="P37" s="98"/>
    </row>
    <row r="38" spans="10:11" ht="12.75">
      <c r="J38" s="41"/>
      <c r="K38" s="94"/>
    </row>
    <row r="39" spans="10:11" ht="12.75">
      <c r="J39" s="94"/>
      <c r="K39" s="94"/>
    </row>
    <row r="40" spans="10:11" ht="12.75">
      <c r="J40" s="41"/>
      <c r="K40" s="94"/>
    </row>
    <row r="41" spans="10:11" ht="12.75">
      <c r="J41" s="94"/>
      <c r="K41" s="94"/>
    </row>
    <row r="42" spans="10:11" ht="12.75">
      <c r="J42" s="94"/>
      <c r="K42" s="94"/>
    </row>
    <row r="43" spans="10:11" ht="12.75">
      <c r="J43" s="94"/>
      <c r="K43" s="94"/>
    </row>
    <row r="44" spans="10:11" ht="12.75">
      <c r="J44" s="99"/>
      <c r="K44" s="99"/>
    </row>
    <row r="45" spans="10:11" ht="12.75">
      <c r="J45" s="94"/>
      <c r="K45" s="99"/>
    </row>
    <row r="46" spans="10:11" ht="12.75">
      <c r="J46" s="94"/>
      <c r="K46" s="94"/>
    </row>
    <row r="47" spans="10:11" ht="12.75">
      <c r="J47" s="94"/>
      <c r="K47" s="94"/>
    </row>
  </sheetData>
  <mergeCells count="23">
    <mergeCell ref="M8:P8"/>
    <mergeCell ref="G9:H9"/>
    <mergeCell ref="M9:O9"/>
    <mergeCell ref="B2:C2"/>
    <mergeCell ref="B3:C3"/>
    <mergeCell ref="B4:C4"/>
    <mergeCell ref="B5:C5"/>
    <mergeCell ref="D2:G2"/>
    <mergeCell ref="D3:G3"/>
    <mergeCell ref="D4:G4"/>
    <mergeCell ref="J2:K2"/>
    <mergeCell ref="J3:K3"/>
    <mergeCell ref="J4:K4"/>
    <mergeCell ref="J5:K5"/>
    <mergeCell ref="N2:P2"/>
    <mergeCell ref="N3:P3"/>
    <mergeCell ref="N4:P4"/>
    <mergeCell ref="N5:P5"/>
    <mergeCell ref="T6:U6"/>
    <mergeCell ref="D6:G6"/>
    <mergeCell ref="D5:G5"/>
    <mergeCell ref="B6:C6"/>
    <mergeCell ref="N6:P6"/>
  </mergeCells>
  <conditionalFormatting sqref="B10:B30">
    <cfRule type="cellIs" priority="1" dxfId="0" operator="equal" stopIfTrue="1">
      <formula>$B$32</formula>
    </cfRule>
  </conditionalFormatting>
  <conditionalFormatting sqref="E18:E23 E10:E15 E26:E30">
    <cfRule type="cellIs" priority="2" dxfId="1" operator="equal" stopIfTrue="1">
      <formula>1</formula>
    </cfRule>
  </conditionalFormatting>
  <conditionalFormatting sqref="D10:D30">
    <cfRule type="cellIs" priority="3" dxfId="2" operator="equal" stopIfTrue="1">
      <formula>"!"</formula>
    </cfRule>
  </conditionalFormatting>
  <dataValidations count="7">
    <dataValidation type="list" allowBlank="1" showInputMessage="1" showErrorMessage="1" sqref="H28 H19">
      <formula1>"1,5,10,15"</formula1>
    </dataValidation>
    <dataValidation type="list" allowBlank="1" showInputMessage="1" showErrorMessage="1" sqref="H20 H12:H14">
      <formula1>"1,5,9"</formula1>
    </dataValidation>
    <dataValidation type="list" allowBlank="1" showInputMessage="1" showErrorMessage="1" sqref="H22">
      <formula1>"1,5,10,13"</formula1>
    </dataValidation>
    <dataValidation type="list" allowBlank="1" showInputMessage="1" showErrorMessage="1" sqref="H23:H24">
      <formula1>"1,5,10,11"</formula1>
    </dataValidation>
    <dataValidation type="list" allowBlank="1" showInputMessage="1" showErrorMessage="1" sqref="H21">
      <formula1>"1,5,8"</formula1>
    </dataValidation>
    <dataValidation type="list" allowBlank="1" showInputMessage="1" showErrorMessage="1" sqref="H15 H29:H30">
      <formula1>"1,5,10,19"</formula1>
    </dataValidation>
    <dataValidation type="list" allowBlank="1" showInputMessage="1" showErrorMessage="1" sqref="H18 H10:H11 H26:H27">
      <formula1>"1,5,10,20,49"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Puke Baker</dc:creator>
  <cp:keywords/>
  <dc:description/>
  <cp:lastModifiedBy>Puke Baker</cp:lastModifiedBy>
  <dcterms:created xsi:type="dcterms:W3CDTF">2015-06-04T20:07:24Z</dcterms:created>
  <dcterms:modified xsi:type="dcterms:W3CDTF">2015-06-07T21:02:32Z</dcterms:modified>
  <cp:category/>
  <cp:version/>
  <cp:contentType/>
  <cp:contentStatus/>
</cp:coreProperties>
</file>